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315" windowHeight="9270"/>
  </bookViews>
  <sheets>
    <sheet name="DEF calculator" sheetId="1" r:id="rId1"/>
    <sheet name="Res calculator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  <c r="AB8"/>
  <c r="AB17" s="1"/>
  <c r="AA8"/>
  <c r="AA17" s="1"/>
  <c r="AB16"/>
  <c r="AB19"/>
  <c r="AA19"/>
  <c r="AB20"/>
  <c r="AA20"/>
  <c r="AA16"/>
  <c r="AB14"/>
  <c r="AA14"/>
  <c r="AB13"/>
  <c r="AA13"/>
  <c r="P16"/>
  <c r="P18"/>
  <c r="O18"/>
  <c r="O16"/>
  <c r="P13"/>
  <c r="P8" s="1"/>
  <c r="O13"/>
  <c r="O8" s="1"/>
  <c r="W8"/>
  <c r="V8"/>
  <c r="U8"/>
  <c r="T8"/>
  <c r="K13"/>
  <c r="J13"/>
  <c r="J8" s="1"/>
  <c r="J17" s="1"/>
  <c r="I13"/>
  <c r="I8" s="1"/>
  <c r="I17" s="1"/>
  <c r="H13"/>
  <c r="K8"/>
  <c r="K17" s="1"/>
  <c r="G13"/>
  <c r="G8"/>
  <c r="G17" s="1"/>
  <c r="H8"/>
  <c r="H17" s="1"/>
  <c r="H18"/>
  <c r="I18"/>
  <c r="J18"/>
  <c r="K18"/>
  <c r="H16"/>
  <c r="I16"/>
  <c r="J16"/>
  <c r="K16"/>
  <c r="H14"/>
  <c r="H20" s="1"/>
  <c r="J14"/>
  <c r="J20" s="1"/>
  <c r="G18"/>
  <c r="G16"/>
  <c r="P17" l="1"/>
  <c r="O17"/>
  <c r="O14"/>
  <c r="O20" s="1"/>
  <c r="P14"/>
  <c r="P19" s="1"/>
  <c r="J19"/>
  <c r="H19"/>
  <c r="K14"/>
  <c r="K20" s="1"/>
  <c r="I14"/>
  <c r="I20" s="1"/>
  <c r="I19"/>
  <c r="G14"/>
  <c r="G19" s="1"/>
  <c r="P20" l="1"/>
  <c r="O19"/>
  <c r="K19"/>
  <c r="G20"/>
  <c r="U18" l="1"/>
  <c r="V18"/>
  <c r="W18"/>
  <c r="U16"/>
  <c r="V16"/>
  <c r="W16"/>
  <c r="W13"/>
  <c r="W17" s="1"/>
  <c r="V13"/>
  <c r="U13"/>
  <c r="U17" s="1"/>
  <c r="T13"/>
  <c r="C13"/>
  <c r="C8" s="1"/>
  <c r="T16"/>
  <c r="T17"/>
  <c r="W14" l="1"/>
  <c r="W20" s="1"/>
  <c r="U14"/>
  <c r="U20" s="1"/>
  <c r="W19"/>
  <c r="U19"/>
  <c r="V14"/>
  <c r="V20" s="1"/>
  <c r="V17"/>
  <c r="T14"/>
  <c r="T20" s="1"/>
  <c r="V19" l="1"/>
  <c r="T19"/>
  <c r="I12" i="2" l="1"/>
  <c r="G12"/>
  <c r="J12"/>
  <c r="H12" s="1"/>
  <c r="G11"/>
  <c r="H11"/>
  <c r="L11" s="1"/>
  <c r="G10"/>
  <c r="I11"/>
  <c r="I10"/>
  <c r="J11"/>
  <c r="J10"/>
  <c r="H10" s="1"/>
  <c r="L10" s="1"/>
  <c r="C17" i="1" l="1"/>
  <c r="G9" i="2" l="1"/>
  <c r="I9"/>
  <c r="J9"/>
  <c r="H9" s="1"/>
  <c r="L9" s="1"/>
  <c r="L4"/>
  <c r="I4"/>
  <c r="G4"/>
  <c r="J4"/>
  <c r="H4" s="1"/>
  <c r="G8"/>
  <c r="I8"/>
  <c r="J8"/>
  <c r="H8" s="1"/>
  <c r="L8" s="1"/>
  <c r="I7"/>
  <c r="J7"/>
  <c r="H7" s="1"/>
  <c r="L7" s="1"/>
  <c r="G7"/>
  <c r="I6"/>
  <c r="I5"/>
  <c r="H6"/>
  <c r="L6" s="1"/>
  <c r="J6"/>
  <c r="G6"/>
  <c r="G5"/>
  <c r="J5"/>
  <c r="H5" s="1"/>
  <c r="L5" s="1"/>
  <c r="C14" i="1" l="1"/>
  <c r="C20" s="1"/>
  <c r="C19" l="1"/>
</calcChain>
</file>

<file path=xl/sharedStrings.xml><?xml version="1.0" encoding="utf-8"?>
<sst xmlns="http://schemas.openxmlformats.org/spreadsheetml/2006/main" count="239" uniqueCount="105">
  <si>
    <t>Fh</t>
  </si>
  <si>
    <t>15-30k</t>
  </si>
  <si>
    <t>30-77k</t>
  </si>
  <si>
    <t>77-120k</t>
  </si>
  <si>
    <t>120-135k</t>
  </si>
  <si>
    <t>FET</t>
  </si>
  <si>
    <t>DY</t>
  </si>
  <si>
    <t>tr</t>
  </si>
  <si>
    <t>Ct</t>
  </si>
  <si>
    <t>e=</t>
  </si>
  <si>
    <t>I calc</t>
  </si>
  <si>
    <t>A</t>
  </si>
  <si>
    <t>H</t>
  </si>
  <si>
    <t>F</t>
  </si>
  <si>
    <t>s</t>
  </si>
  <si>
    <t>f0</t>
  </si>
  <si>
    <t>t</t>
  </si>
  <si>
    <t>Hz</t>
  </si>
  <si>
    <t>E calc</t>
  </si>
  <si>
    <t>V</t>
  </si>
  <si>
    <t>Vpp calc</t>
  </si>
  <si>
    <t>tr/t</t>
  </si>
  <si>
    <t>H tot</t>
  </si>
  <si>
    <t>V tot</t>
  </si>
  <si>
    <t>Refresh</t>
  </si>
  <si>
    <t>H active</t>
  </si>
  <si>
    <t>V active</t>
  </si>
  <si>
    <t>Pixel clk</t>
  </si>
  <si>
    <t>fh</t>
  </si>
  <si>
    <t>H t blk</t>
  </si>
  <si>
    <t>V t blk</t>
  </si>
  <si>
    <t>1080p72 XG</t>
  </si>
  <si>
    <t>1080i96 XG</t>
  </si>
  <si>
    <t>1080p std</t>
  </si>
  <si>
    <t>XG tr</t>
  </si>
  <si>
    <t>720p72 XG</t>
  </si>
  <si>
    <t>H blk -H tr</t>
  </si>
  <si>
    <t>frame trippled std 1080p</t>
  </si>
  <si>
    <t>Works on XG?</t>
  </si>
  <si>
    <t>Y</t>
  </si>
  <si>
    <t>frequency range</t>
  </si>
  <si>
    <t>Advertised retrace time</t>
  </si>
  <si>
    <t>Peak current in yokes</t>
  </si>
  <si>
    <t>active scan time</t>
  </si>
  <si>
    <t>retrace time / active scan time ratio</t>
  </si>
  <si>
    <t>Calculated retrace peak voltage</t>
  </si>
  <si>
    <t>U block</t>
  </si>
  <si>
    <t>Maximal blocking voltage of output FETs</t>
  </si>
  <si>
    <t>2048x1536 75Hz</t>
  </si>
  <si>
    <t>tr calc</t>
  </si>
  <si>
    <t>L</t>
  </si>
  <si>
    <t>t blanking</t>
  </si>
  <si>
    <t>???</t>
  </si>
  <si>
    <t>1080p 110Hz short</t>
  </si>
  <si>
    <t>1080p 110Hz long</t>
  </si>
  <si>
    <t>No, banding</t>
  </si>
  <si>
    <t>No, overlapping/banding</t>
  </si>
  <si>
    <t>tb/t</t>
  </si>
  <si>
    <t>UHD 30Hz</t>
  </si>
  <si>
    <t>Calculated retrace time</t>
  </si>
  <si>
    <t>Sum of resonance capacitance</t>
  </si>
  <si>
    <t>Calculated H-DEF voltage</t>
  </si>
  <si>
    <t>Yoke inductance (sum of all coil haves as per configuration)</t>
  </si>
  <si>
    <t>retrace</t>
  </si>
  <si>
    <t>long</t>
  </si>
  <si>
    <t>short</t>
  </si>
  <si>
    <t xml:space="preserve">long </t>
  </si>
  <si>
    <t>30k-60k</t>
  </si>
  <si>
    <t>L coil</t>
  </si>
  <si>
    <t>15k-150k</t>
  </si>
  <si>
    <t>-</t>
  </si>
  <si>
    <t>Projector model</t>
  </si>
  <si>
    <t>Sony G90</t>
  </si>
  <si>
    <t>Inductance of each H-Deflection coil winding</t>
  </si>
  <si>
    <t>Ct(0)</t>
  </si>
  <si>
    <t>Advertised/measured blanking time</t>
  </si>
  <si>
    <t>Pulse supressor capacitance (if available)</t>
  </si>
  <si>
    <t>15k-30k</t>
  </si>
  <si>
    <t>Deflection Yoke coil configuration: series / parallel</t>
  </si>
  <si>
    <t>t blanking (measured)</t>
  </si>
  <si>
    <t>Barco 909</t>
  </si>
  <si>
    <t>30k-90k</t>
  </si>
  <si>
    <t>90k-180k</t>
  </si>
  <si>
    <t>not switched</t>
  </si>
  <si>
    <t>All parallel</t>
  </si>
  <si>
    <t>Series</t>
  </si>
  <si>
    <t>Parallel</t>
  </si>
  <si>
    <t xml:space="preserve"> 2 blocks in Series</t>
  </si>
  <si>
    <t>3 blocks in series</t>
  </si>
  <si>
    <t>3 FETs in Series</t>
  </si>
  <si>
    <t>2 FETs in Series</t>
  </si>
  <si>
    <t>30k-45k</t>
  </si>
  <si>
    <t>60k-130k</t>
  </si>
  <si>
    <t>60k-100k</t>
  </si>
  <si>
    <t>H DEF output FET/Transistor configuration: series / parallel</t>
  </si>
  <si>
    <t>Transistor</t>
  </si>
  <si>
    <t>blanking time / active scan time ratio</t>
  </si>
  <si>
    <t>2 blocks in series</t>
  </si>
  <si>
    <t>30k-100k</t>
  </si>
  <si>
    <t>Not switched</t>
  </si>
  <si>
    <t>NEC 9 PG xtra</t>
  </si>
  <si>
    <t>NEC XG135</t>
  </si>
  <si>
    <t>Electrohome Marquee x500</t>
  </si>
  <si>
    <t>test frequency (scanrate)</t>
  </si>
  <si>
    <t>Energy to deflect electron beam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</si>
</sst>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quotePrefix="1" applyFont="1"/>
    <xf numFmtId="11" fontId="1" fillId="0" borderId="0" xfId="0" quotePrefix="1" applyNumberFormat="1" applyFont="1"/>
    <xf numFmtId="11" fontId="1" fillId="0" borderId="0" xfId="0" applyNumberFormat="1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Fill="1"/>
    <xf numFmtId="11" fontId="0" fillId="0" borderId="0" xfId="0" quotePrefix="1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1" fontId="1" fillId="0" borderId="0" xfId="0" applyNumberFormat="1" applyFont="1" applyAlignment="1">
      <alignment horizontal="right" vertical="top"/>
    </xf>
    <xf numFmtId="1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/>
    <xf numFmtId="11" fontId="1" fillId="0" borderId="0" xfId="0" applyNumberFormat="1" applyFont="1" applyFill="1"/>
    <xf numFmtId="11" fontId="0" fillId="0" borderId="0" xfId="0" applyNumberFormat="1" applyFont="1" applyFill="1"/>
    <xf numFmtId="2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1" fontId="1" fillId="0" borderId="0" xfId="0" applyNumberFormat="1" applyFont="1" applyFill="1" applyAlignment="1">
      <alignment vertical="top"/>
    </xf>
    <xf numFmtId="0" fontId="1" fillId="0" borderId="0" xfId="0" applyFont="1" applyAlignment="1"/>
    <xf numFmtId="11" fontId="0" fillId="0" borderId="0" xfId="0" quotePrefix="1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Font="1"/>
    <xf numFmtId="0" fontId="1" fillId="0" borderId="0" xfId="0" applyNumberFormat="1" applyFont="1"/>
    <xf numFmtId="0" fontId="1" fillId="0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"/>
  <sheetViews>
    <sheetView tabSelected="1" zoomScaleNormal="100" workbookViewId="0">
      <pane xSplit="1" topLeftCell="K1" activePane="topRight" state="frozen"/>
      <selection pane="topRight" activeCell="O25" sqref="O25"/>
    </sheetView>
  </sheetViews>
  <sheetFormatPr defaultRowHeight="15"/>
  <cols>
    <col min="1" max="1" width="52.85546875" customWidth="1"/>
    <col min="2" max="2" width="10.28515625" customWidth="1"/>
    <col min="4" max="4" width="9.140625" style="9"/>
    <col min="7" max="7" width="13.140625" style="23" bestFit="1" customWidth="1"/>
    <col min="8" max="11" width="8.5703125" bestFit="1" customWidth="1"/>
    <col min="15" max="15" width="15.7109375" bestFit="1" customWidth="1"/>
    <col min="16" max="16" width="15.140625" bestFit="1" customWidth="1"/>
    <col min="19" max="19" width="20.7109375" bestFit="1" customWidth="1"/>
    <col min="20" max="20" width="10.5703125" bestFit="1" customWidth="1"/>
  </cols>
  <sheetData>
    <row r="1" spans="1:29">
      <c r="A1" t="s">
        <v>104</v>
      </c>
      <c r="B1" t="s">
        <v>9</v>
      </c>
      <c r="C1" s="1">
        <v>1.4999999999999999E-2</v>
      </c>
    </row>
    <row r="2" spans="1:29" ht="15.75" thickBot="1"/>
    <row r="3" spans="1:29" ht="15.75" thickBot="1">
      <c r="A3" t="s">
        <v>71</v>
      </c>
      <c r="B3" s="35" t="s">
        <v>72</v>
      </c>
      <c r="C3" s="36"/>
      <c r="D3" s="37"/>
      <c r="F3" s="35" t="s">
        <v>102</v>
      </c>
      <c r="G3" s="36"/>
      <c r="H3" s="36"/>
      <c r="I3" s="36"/>
      <c r="J3" s="36"/>
      <c r="K3" s="37"/>
      <c r="L3" s="31"/>
      <c r="N3" s="35" t="s">
        <v>80</v>
      </c>
      <c r="O3" s="36"/>
      <c r="P3" s="37"/>
      <c r="S3" s="35" t="s">
        <v>101</v>
      </c>
      <c r="T3" s="36"/>
      <c r="U3" s="36"/>
      <c r="V3" s="36"/>
      <c r="W3" s="37"/>
      <c r="Z3" s="35" t="s">
        <v>100</v>
      </c>
      <c r="AA3" s="36"/>
      <c r="AB3" s="37"/>
    </row>
    <row r="5" spans="1:29">
      <c r="A5" t="s">
        <v>40</v>
      </c>
      <c r="B5" s="4" t="s">
        <v>0</v>
      </c>
      <c r="C5" s="19" t="s">
        <v>69</v>
      </c>
      <c r="F5" s="4" t="s">
        <v>0</v>
      </c>
      <c r="G5" s="12" t="s">
        <v>77</v>
      </c>
      <c r="H5" s="4" t="s">
        <v>91</v>
      </c>
      <c r="I5" s="19" t="s">
        <v>67</v>
      </c>
      <c r="J5" s="29" t="s">
        <v>93</v>
      </c>
      <c r="K5" s="29" t="s">
        <v>92</v>
      </c>
      <c r="L5" s="9"/>
      <c r="N5" s="4" t="s">
        <v>0</v>
      </c>
      <c r="O5" s="4" t="s">
        <v>81</v>
      </c>
      <c r="P5" s="4" t="s">
        <v>82</v>
      </c>
      <c r="S5" s="4" t="s">
        <v>0</v>
      </c>
      <c r="T5" s="5" t="s">
        <v>1</v>
      </c>
      <c r="U5" s="4" t="s">
        <v>2</v>
      </c>
      <c r="V5" s="4" t="s">
        <v>3</v>
      </c>
      <c r="W5" s="4" t="s">
        <v>4</v>
      </c>
      <c r="Z5" s="4" t="s">
        <v>0</v>
      </c>
      <c r="AA5" s="4" t="s">
        <v>77</v>
      </c>
      <c r="AB5" s="4" t="s">
        <v>98</v>
      </c>
    </row>
    <row r="6" spans="1:29">
      <c r="B6" s="4"/>
      <c r="C6" s="5"/>
      <c r="F6" s="4" t="s">
        <v>63</v>
      </c>
      <c r="G6" s="12" t="s">
        <v>65</v>
      </c>
      <c r="H6" s="5" t="s">
        <v>64</v>
      </c>
      <c r="I6" s="4" t="s">
        <v>65</v>
      </c>
      <c r="J6" s="4" t="s">
        <v>66</v>
      </c>
      <c r="K6" s="4" t="s">
        <v>65</v>
      </c>
      <c r="L6" s="4"/>
      <c r="N6" s="4"/>
    </row>
    <row r="7" spans="1:29">
      <c r="A7" t="s">
        <v>41</v>
      </c>
      <c r="B7" s="4" t="s">
        <v>7</v>
      </c>
      <c r="C7" s="30" t="s">
        <v>52</v>
      </c>
      <c r="D7" s="9" t="s">
        <v>14</v>
      </c>
      <c r="F7" s="4" t="s">
        <v>7</v>
      </c>
      <c r="G7" s="20">
        <v>5.4999999999999999E-6</v>
      </c>
      <c r="H7" s="7">
        <v>5.0000000000000004E-6</v>
      </c>
      <c r="I7" s="7">
        <v>3.3000000000000002E-6</v>
      </c>
      <c r="J7" s="7">
        <v>2.5000000000000002E-6</v>
      </c>
      <c r="K7" s="7">
        <v>1.5999999999999999E-6</v>
      </c>
      <c r="L7" s="9" t="s">
        <v>14</v>
      </c>
      <c r="N7" s="4" t="s">
        <v>7</v>
      </c>
      <c r="O7" s="1">
        <v>1.7999999999999999E-6</v>
      </c>
      <c r="P7" s="1">
        <v>1.1000000000000001E-6</v>
      </c>
      <c r="Q7" s="9" t="s">
        <v>14</v>
      </c>
      <c r="S7" s="4" t="s">
        <v>7</v>
      </c>
      <c r="T7" s="6">
        <v>6.0000000000000002E-6</v>
      </c>
      <c r="U7" s="7">
        <v>2.6000000000000001E-6</v>
      </c>
      <c r="V7" s="7">
        <v>1.9999999999999999E-6</v>
      </c>
      <c r="W7" s="7">
        <v>1.3999999999999999E-6</v>
      </c>
      <c r="X7" s="9" t="s">
        <v>14</v>
      </c>
      <c r="Z7" s="4" t="s">
        <v>7</v>
      </c>
      <c r="AA7" s="1">
        <v>3.9999999999999998E-6</v>
      </c>
      <c r="AB7" s="1">
        <v>2.5000000000000002E-6</v>
      </c>
      <c r="AC7" s="9" t="s">
        <v>14</v>
      </c>
    </row>
    <row r="8" spans="1:29">
      <c r="A8" t="s">
        <v>59</v>
      </c>
      <c r="B8" s="8" t="s">
        <v>49</v>
      </c>
      <c r="C8" s="13">
        <f>PI()*SQRT(C13*(C12+$C23))</f>
        <v>1.4578253716985134E-6</v>
      </c>
      <c r="D8" s="9" t="s">
        <v>14</v>
      </c>
      <c r="F8" s="8" t="s">
        <v>49</v>
      </c>
      <c r="G8" s="13">
        <f>PI()*SQRT(G13*(G12+$G23))</f>
        <v>5.2220414552366299E-6</v>
      </c>
      <c r="H8" s="13">
        <f t="shared" ref="H8:K8" si="0">PI()*SQRT(H13*(H12+$G23))</f>
        <v>5.9860325540874757E-6</v>
      </c>
      <c r="I8" s="13">
        <f t="shared" si="0"/>
        <v>4.9099384629647724E-6</v>
      </c>
      <c r="J8" s="13">
        <f t="shared" si="0"/>
        <v>2.9930162770437379E-6</v>
      </c>
      <c r="K8" s="13">
        <f t="shared" si="0"/>
        <v>2.4549692314823862E-6</v>
      </c>
      <c r="L8" s="9" t="s">
        <v>14</v>
      </c>
      <c r="N8" s="8" t="s">
        <v>49</v>
      </c>
      <c r="O8" s="13">
        <f>PI()*SQRT(O13*(O12))</f>
        <v>3.6048549385656272E-6</v>
      </c>
      <c r="P8" s="13">
        <f>PI()*SQRT(P13*(P12))</f>
        <v>2.8200934783084417E-6</v>
      </c>
      <c r="Q8" s="9" t="s">
        <v>14</v>
      </c>
      <c r="S8" s="8" t="s">
        <v>49</v>
      </c>
      <c r="T8" s="13">
        <f>PI()*SQRT(T13*(T12+$T$23))</f>
        <v>4.8343793005699919E-6</v>
      </c>
      <c r="U8" s="13">
        <f>PI()*SQRT(U13*(U12+$T$23))</f>
        <v>2.7243242298998112E-6</v>
      </c>
      <c r="V8" s="13">
        <f>PI()*SQRT(V13*(V12+$T$23))</f>
        <v>1.7585437286785524E-6</v>
      </c>
      <c r="W8" s="13">
        <f>PI()*SQRT(W13*(W12+$T$23))</f>
        <v>1.3621621149499056E-6</v>
      </c>
      <c r="X8" s="9" t="s">
        <v>14</v>
      </c>
      <c r="Z8" s="8" t="s">
        <v>49</v>
      </c>
      <c r="AA8" s="13">
        <f>PI()*SQRT(AA13*(AA12))</f>
        <v>3.6914270695451519E-6</v>
      </c>
      <c r="AB8" s="13">
        <f>PI()*SQRT(AB13*(AB12))</f>
        <v>2.061676412227636E-6</v>
      </c>
      <c r="AC8" s="9" t="s">
        <v>14</v>
      </c>
    </row>
    <row r="9" spans="1:29">
      <c r="A9" s="14" t="s">
        <v>75</v>
      </c>
      <c r="B9" s="15"/>
      <c r="C9" s="16"/>
      <c r="D9" s="18"/>
      <c r="F9" s="15" t="s">
        <v>51</v>
      </c>
      <c r="G9" s="28">
        <v>6.4999999999999996E-6</v>
      </c>
      <c r="H9" s="7">
        <v>5.5999999999999997E-6</v>
      </c>
      <c r="I9" s="7">
        <v>3.5999999999999998E-6</v>
      </c>
      <c r="J9" s="7">
        <v>3.1999999999999999E-6</v>
      </c>
      <c r="K9" s="7">
        <v>1.7999999999999999E-6</v>
      </c>
      <c r="L9" s="18" t="s">
        <v>14</v>
      </c>
      <c r="N9" s="15"/>
      <c r="Q9" s="18" t="s">
        <v>14</v>
      </c>
      <c r="S9" s="15" t="s">
        <v>79</v>
      </c>
      <c r="T9" s="16" t="s">
        <v>52</v>
      </c>
      <c r="U9" s="17">
        <v>3.4999999999999999E-6</v>
      </c>
      <c r="V9" s="17">
        <v>2.5000000000000002E-6</v>
      </c>
      <c r="W9" s="17">
        <v>1.7E-6</v>
      </c>
      <c r="X9" s="18" t="s">
        <v>14</v>
      </c>
      <c r="Z9" s="15"/>
      <c r="AC9" s="18"/>
    </row>
    <row r="10" spans="1:29">
      <c r="A10" t="s">
        <v>94</v>
      </c>
      <c r="B10" s="4" t="s">
        <v>95</v>
      </c>
      <c r="C10" s="4" t="s">
        <v>83</v>
      </c>
      <c r="F10" s="4" t="s">
        <v>5</v>
      </c>
      <c r="G10" s="25" t="s">
        <v>90</v>
      </c>
      <c r="H10" s="38" t="s">
        <v>89</v>
      </c>
      <c r="I10" s="38"/>
      <c r="J10" s="38"/>
      <c r="K10" s="38"/>
      <c r="L10" s="9"/>
      <c r="N10" s="4" t="s">
        <v>5</v>
      </c>
      <c r="O10" s="26" t="s">
        <v>87</v>
      </c>
      <c r="P10" s="26" t="s">
        <v>88</v>
      </c>
      <c r="Q10" s="9"/>
      <c r="S10" s="4" t="s">
        <v>5</v>
      </c>
      <c r="T10" s="4" t="s">
        <v>84</v>
      </c>
      <c r="U10" s="38" t="s">
        <v>97</v>
      </c>
      <c r="V10" s="38"/>
      <c r="W10" s="38"/>
      <c r="X10" s="9"/>
      <c r="Z10" s="4" t="s">
        <v>5</v>
      </c>
      <c r="AA10" s="38" t="s">
        <v>99</v>
      </c>
      <c r="AB10" s="38"/>
      <c r="AC10" s="9"/>
    </row>
    <row r="11" spans="1:29">
      <c r="A11" t="s">
        <v>78</v>
      </c>
      <c r="B11" s="4" t="s">
        <v>6</v>
      </c>
      <c r="C11" s="4" t="s">
        <v>83</v>
      </c>
      <c r="F11" s="4" t="s">
        <v>6</v>
      </c>
      <c r="G11" s="40" t="s">
        <v>85</v>
      </c>
      <c r="H11" s="40"/>
      <c r="I11" s="40"/>
      <c r="J11" s="40" t="s">
        <v>86</v>
      </c>
      <c r="K11" s="40"/>
      <c r="L11" s="9"/>
      <c r="N11" s="4" t="s">
        <v>6</v>
      </c>
      <c r="O11" s="38" t="s">
        <v>83</v>
      </c>
      <c r="P11" s="38"/>
      <c r="Q11" s="9"/>
      <c r="S11" s="4" t="s">
        <v>6</v>
      </c>
      <c r="T11" s="38" t="s">
        <v>85</v>
      </c>
      <c r="U11" s="38"/>
      <c r="V11" s="38" t="s">
        <v>86</v>
      </c>
      <c r="W11" s="38"/>
      <c r="X11" s="9"/>
      <c r="Z11" s="4" t="s">
        <v>6</v>
      </c>
      <c r="AA11" s="38" t="s">
        <v>99</v>
      </c>
      <c r="AB11" s="38"/>
      <c r="AC11" s="9"/>
    </row>
    <row r="12" spans="1:29">
      <c r="A12" t="s">
        <v>60</v>
      </c>
      <c r="B12" s="4" t="s">
        <v>8</v>
      </c>
      <c r="C12" s="1">
        <v>7.2E-9</v>
      </c>
      <c r="D12" s="9" t="s">
        <v>13</v>
      </c>
      <c r="F12" s="4" t="s">
        <v>8</v>
      </c>
      <c r="G12" s="21">
        <v>5.3499999999999999E-9</v>
      </c>
      <c r="H12" s="1">
        <v>1.0169999999999999E-8</v>
      </c>
      <c r="I12" s="1">
        <v>3.5699999999999999E-9</v>
      </c>
      <c r="J12" s="1">
        <v>1.0169999999999999E-8</v>
      </c>
      <c r="K12" s="1">
        <v>3.5699999999999999E-9</v>
      </c>
      <c r="L12" s="9" t="s">
        <v>13</v>
      </c>
      <c r="N12" s="4" t="s">
        <v>8</v>
      </c>
      <c r="O12" s="1">
        <v>2.5000000000000001E-9</v>
      </c>
      <c r="P12" s="1">
        <v>1.5300000000000001E-9</v>
      </c>
      <c r="Q12" s="9" t="s">
        <v>13</v>
      </c>
      <c r="S12" s="4" t="s">
        <v>8</v>
      </c>
      <c r="T12" s="1">
        <v>3.7599999999999999E-8</v>
      </c>
      <c r="U12" s="1">
        <v>7.3E-9</v>
      </c>
      <c r="V12" s="1">
        <v>1.6700000000000001E-8</v>
      </c>
      <c r="W12" s="1">
        <v>7.3E-9</v>
      </c>
      <c r="X12" s="9" t="s">
        <v>13</v>
      </c>
      <c r="Z12" s="4" t="s">
        <v>8</v>
      </c>
      <c r="AA12" s="1">
        <v>2.18E-8</v>
      </c>
      <c r="AB12" s="1">
        <v>6.7999999999999997E-9</v>
      </c>
      <c r="AC12" s="9" t="s">
        <v>13</v>
      </c>
    </row>
    <row r="13" spans="1:29">
      <c r="A13" t="s">
        <v>62</v>
      </c>
      <c r="B13" s="8" t="s">
        <v>50</v>
      </c>
      <c r="C13" s="1">
        <f>$C$24/6</f>
        <v>1.4166666666666668E-5</v>
      </c>
      <c r="D13" s="9" t="s">
        <v>12</v>
      </c>
      <c r="F13" s="8" t="s">
        <v>50</v>
      </c>
      <c r="G13" s="1">
        <f>2*G24/3</f>
        <v>1.8000000000000001E-4</v>
      </c>
      <c r="H13" s="1">
        <f>2*$G$24/3</f>
        <v>1.8000000000000001E-4</v>
      </c>
      <c r="I13" s="1">
        <f>2*$G$24/3</f>
        <v>1.8000000000000001E-4</v>
      </c>
      <c r="J13" s="21">
        <f>$G$24/6</f>
        <v>4.5000000000000003E-5</v>
      </c>
      <c r="K13" s="21">
        <f>$G$24/6</f>
        <v>4.5000000000000003E-5</v>
      </c>
      <c r="L13" s="9" t="s">
        <v>12</v>
      </c>
      <c r="N13" s="8" t="s">
        <v>50</v>
      </c>
      <c r="O13" s="1">
        <f>$O$24/3</f>
        <v>5.2666666666666671E-4</v>
      </c>
      <c r="P13" s="1">
        <f>$O$24/3</f>
        <v>5.2666666666666671E-4</v>
      </c>
      <c r="Q13" s="9" t="s">
        <v>12</v>
      </c>
      <c r="S13" s="8" t="s">
        <v>50</v>
      </c>
      <c r="T13" s="1">
        <f>2*$T$24/3</f>
        <v>5.333333333333334E-5</v>
      </c>
      <c r="U13" s="1">
        <f>2*$T$24/3</f>
        <v>5.333333333333334E-5</v>
      </c>
      <c r="V13" s="21">
        <f>$T$24/6</f>
        <v>1.3333333333333335E-5</v>
      </c>
      <c r="W13" s="21">
        <f>$T$24/6</f>
        <v>1.3333333333333335E-5</v>
      </c>
      <c r="X13" s="9" t="s">
        <v>12</v>
      </c>
      <c r="Z13" s="8" t="s">
        <v>50</v>
      </c>
      <c r="AA13" s="1">
        <f>$AA$24/3</f>
        <v>6.3333333333333332E-5</v>
      </c>
      <c r="AB13" s="1">
        <f>$AA$24/3</f>
        <v>6.3333333333333332E-5</v>
      </c>
      <c r="AC13" s="9" t="s">
        <v>12</v>
      </c>
    </row>
    <row r="14" spans="1:29">
      <c r="A14" t="s">
        <v>42</v>
      </c>
      <c r="B14" s="8" t="s">
        <v>10</v>
      </c>
      <c r="C14" s="2">
        <f>SQRT(2*$C$1/C13)</f>
        <v>46.017899330842226</v>
      </c>
      <c r="D14" s="9" t="s">
        <v>11</v>
      </c>
      <c r="F14" s="8" t="s">
        <v>10</v>
      </c>
      <c r="G14" s="2">
        <f>SQRT(2*$C$1/G13)</f>
        <v>12.909944487358056</v>
      </c>
      <c r="H14" s="2">
        <f t="shared" ref="H14:K14" si="1">SQRT(2*$C$1/H13)</f>
        <v>12.909944487358056</v>
      </c>
      <c r="I14" s="2">
        <f t="shared" si="1"/>
        <v>12.909944487358056</v>
      </c>
      <c r="J14" s="2">
        <f t="shared" si="1"/>
        <v>25.819888974716111</v>
      </c>
      <c r="K14" s="2">
        <f t="shared" si="1"/>
        <v>25.819888974716111</v>
      </c>
      <c r="L14" s="9" t="s">
        <v>11</v>
      </c>
      <c r="N14" s="8" t="s">
        <v>10</v>
      </c>
      <c r="O14" s="2">
        <f>SQRT(2*$C$1/O13)</f>
        <v>7.5473190813994133</v>
      </c>
      <c r="P14" s="2">
        <f>SQRT(2*$C$1/P13)</f>
        <v>7.5473190813994133</v>
      </c>
      <c r="Q14" s="9" t="s">
        <v>11</v>
      </c>
      <c r="S14" s="8" t="s">
        <v>10</v>
      </c>
      <c r="T14" s="2">
        <f>SQRT(2*$C$1/T13)</f>
        <v>23.717082451262844</v>
      </c>
      <c r="U14" s="2">
        <f t="shared" ref="U14:W14" si="2">SQRT(2*$C$1/U13)</f>
        <v>23.717082451262844</v>
      </c>
      <c r="V14" s="2">
        <f t="shared" si="2"/>
        <v>47.434164902525687</v>
      </c>
      <c r="W14" s="2">
        <f t="shared" si="2"/>
        <v>47.434164902525687</v>
      </c>
      <c r="X14" s="9" t="s">
        <v>11</v>
      </c>
      <c r="Z14" s="8" t="s">
        <v>10</v>
      </c>
      <c r="AA14" s="2">
        <f>SQRT(2*$C$1/AA13)</f>
        <v>21.764287503300348</v>
      </c>
      <c r="AB14" s="2">
        <f>SQRT(2*$C$1/AB13)</f>
        <v>21.764287503300348</v>
      </c>
      <c r="AC14" s="9" t="s">
        <v>11</v>
      </c>
    </row>
    <row r="15" spans="1:29">
      <c r="A15" t="s">
        <v>103</v>
      </c>
      <c r="B15" s="4" t="s">
        <v>15</v>
      </c>
      <c r="C15" s="33">
        <v>82000</v>
      </c>
      <c r="D15" s="9" t="s">
        <v>17</v>
      </c>
      <c r="F15" s="4" t="s">
        <v>15</v>
      </c>
      <c r="G15" s="33">
        <v>15625</v>
      </c>
      <c r="H15" s="33">
        <v>56000</v>
      </c>
      <c r="I15" s="33">
        <v>56000</v>
      </c>
      <c r="J15" s="33">
        <v>82000</v>
      </c>
      <c r="K15" s="33">
        <v>82000</v>
      </c>
      <c r="L15" s="9" t="s">
        <v>17</v>
      </c>
      <c r="N15" s="4" t="s">
        <v>15</v>
      </c>
      <c r="O15" s="33">
        <v>82000</v>
      </c>
      <c r="P15" s="33">
        <v>135000</v>
      </c>
      <c r="Q15" s="9" t="s">
        <v>17</v>
      </c>
      <c r="S15" s="4" t="s">
        <v>15</v>
      </c>
      <c r="T15" s="33">
        <v>15625</v>
      </c>
      <c r="U15" s="33">
        <v>56000</v>
      </c>
      <c r="V15" s="34">
        <v>82000</v>
      </c>
      <c r="W15" s="34">
        <v>135000</v>
      </c>
      <c r="X15" s="9" t="s">
        <v>17</v>
      </c>
      <c r="Z15" s="4" t="s">
        <v>15</v>
      </c>
      <c r="AA15" s="4">
        <v>15625</v>
      </c>
      <c r="AB15" s="4">
        <v>82000</v>
      </c>
      <c r="AC15" s="9" t="s">
        <v>17</v>
      </c>
    </row>
    <row r="16" spans="1:29">
      <c r="A16" t="s">
        <v>43</v>
      </c>
      <c r="B16" s="8" t="s">
        <v>16</v>
      </c>
      <c r="C16" s="1">
        <f>1/C15-C8</f>
        <v>1.0737296579521E-5</v>
      </c>
      <c r="D16" s="9" t="s">
        <v>14</v>
      </c>
      <c r="F16" s="8" t="s">
        <v>16</v>
      </c>
      <c r="G16" s="1">
        <f>1/G15-G7</f>
        <v>5.8499999999999999E-5</v>
      </c>
      <c r="H16" s="1">
        <f t="shared" ref="H16:K16" si="3">1/H15-H7</f>
        <v>1.2857142857142859E-5</v>
      </c>
      <c r="I16" s="1">
        <f t="shared" si="3"/>
        <v>1.4557142857142858E-5</v>
      </c>
      <c r="J16" s="1">
        <f t="shared" si="3"/>
        <v>9.6951219512195131E-6</v>
      </c>
      <c r="K16" s="1">
        <f t="shared" si="3"/>
        <v>1.0595121951219513E-5</v>
      </c>
      <c r="L16" s="9" t="s">
        <v>14</v>
      </c>
      <c r="N16" s="8" t="s">
        <v>16</v>
      </c>
      <c r="O16" s="1">
        <f>1/O15-O7</f>
        <v>1.0395121951219513E-5</v>
      </c>
      <c r="P16" s="1">
        <f>1/P15-P7</f>
        <v>6.307407407407407E-6</v>
      </c>
      <c r="Q16" s="9" t="s">
        <v>14</v>
      </c>
      <c r="S16" s="8" t="s">
        <v>16</v>
      </c>
      <c r="T16" s="1">
        <f>1/T15-T7</f>
        <v>5.8E-5</v>
      </c>
      <c r="U16" s="1">
        <f t="shared" ref="U16:W16" si="4">1/U15-U7</f>
        <v>1.5257142857142858E-5</v>
      </c>
      <c r="V16" s="1">
        <f t="shared" si="4"/>
        <v>1.0195121951219513E-5</v>
      </c>
      <c r="W16" s="1">
        <f t="shared" si="4"/>
        <v>6.0074074074074073E-6</v>
      </c>
      <c r="X16" s="9" t="s">
        <v>14</v>
      </c>
      <c r="Z16" s="8" t="s">
        <v>16</v>
      </c>
      <c r="AA16" s="1">
        <f>1/AA15-AA7</f>
        <v>5.9999999999999995E-5</v>
      </c>
      <c r="AB16" s="1">
        <f>1/AB15-AB7</f>
        <v>9.6951219512195131E-6</v>
      </c>
      <c r="AC16" s="9" t="s">
        <v>14</v>
      </c>
    </row>
    <row r="17" spans="1:29">
      <c r="A17" t="s">
        <v>44</v>
      </c>
      <c r="B17" s="8" t="s">
        <v>21</v>
      </c>
      <c r="C17" s="2">
        <f>C8/(1/C15)</f>
        <v>0.11954168047927809</v>
      </c>
      <c r="F17" s="8" t="s">
        <v>21</v>
      </c>
      <c r="G17" s="2">
        <f>G8/(1/G15)</f>
        <v>8.1594397738072352E-2</v>
      </c>
      <c r="H17" s="2">
        <f t="shared" ref="H17:K17" si="5">H8/(1/H15)</f>
        <v>0.33521782302889863</v>
      </c>
      <c r="I17" s="2">
        <f t="shared" si="5"/>
        <v>0.27495655392602725</v>
      </c>
      <c r="J17" s="2">
        <f t="shared" si="5"/>
        <v>0.24542733471758649</v>
      </c>
      <c r="K17" s="2">
        <f t="shared" si="5"/>
        <v>0.20130747698155566</v>
      </c>
      <c r="L17" s="9"/>
      <c r="N17" s="8" t="s">
        <v>21</v>
      </c>
      <c r="O17" s="2">
        <f>O8/(1/O15)</f>
        <v>0.29559810496238142</v>
      </c>
      <c r="P17" s="2">
        <f>P8/(1/P15)</f>
        <v>0.38071261957163965</v>
      </c>
      <c r="Q17" s="9"/>
      <c r="S17" s="8" t="s">
        <v>21</v>
      </c>
      <c r="T17" s="2">
        <f>T8/(1/T15)</f>
        <v>7.5537176571406128E-2</v>
      </c>
      <c r="U17" s="2">
        <f t="shared" ref="U17:W17" si="6">U8/(1/U15)</f>
        <v>0.15256215687438943</v>
      </c>
      <c r="V17" s="2">
        <f t="shared" si="6"/>
        <v>0.1442005857516413</v>
      </c>
      <c r="W17" s="2">
        <f t="shared" si="6"/>
        <v>0.18389188551823726</v>
      </c>
      <c r="X17" s="9"/>
      <c r="Z17" s="8" t="s">
        <v>21</v>
      </c>
      <c r="AA17" s="2">
        <f>AA8/(1/AA15)</f>
        <v>5.7678547961642998E-2</v>
      </c>
      <c r="AB17" s="2">
        <f>AB8/(1/AB15)</f>
        <v>0.16905746580266615</v>
      </c>
      <c r="AC17" s="9"/>
    </row>
    <row r="18" spans="1:29">
      <c r="A18" t="s">
        <v>96</v>
      </c>
      <c r="B18" s="8" t="s">
        <v>57</v>
      </c>
      <c r="C18" s="22" t="s">
        <v>70</v>
      </c>
      <c r="F18" s="8" t="s">
        <v>57</v>
      </c>
      <c r="G18" s="2">
        <f t="shared" ref="G18:K18" si="7">G9/(1/G15)</f>
        <v>0.1015625</v>
      </c>
      <c r="H18" s="2">
        <f t="shared" si="7"/>
        <v>0.31359999999999999</v>
      </c>
      <c r="I18" s="2">
        <f t="shared" si="7"/>
        <v>0.20159999999999997</v>
      </c>
      <c r="J18" s="2">
        <f t="shared" si="7"/>
        <v>0.26239999999999997</v>
      </c>
      <c r="K18" s="2">
        <f t="shared" si="7"/>
        <v>0.14759999999999998</v>
      </c>
      <c r="L18" s="9"/>
      <c r="N18" s="8" t="s">
        <v>57</v>
      </c>
      <c r="O18" s="2">
        <f t="shared" ref="O18:P18" si="8">O9/(1/O15)</f>
        <v>0</v>
      </c>
      <c r="P18" s="2">
        <f t="shared" si="8"/>
        <v>0</v>
      </c>
      <c r="Q18" s="9"/>
      <c r="S18" s="8" t="s">
        <v>57</v>
      </c>
      <c r="T18" s="22" t="s">
        <v>70</v>
      </c>
      <c r="U18" s="2">
        <f t="shared" ref="U18:W18" si="9">U9/(1/U15)</f>
        <v>0.19599999999999998</v>
      </c>
      <c r="V18" s="2">
        <f t="shared" si="9"/>
        <v>0.20500000000000002</v>
      </c>
      <c r="W18" s="2">
        <f t="shared" si="9"/>
        <v>0.22950000000000001</v>
      </c>
      <c r="X18" s="9"/>
      <c r="Z18" s="8"/>
      <c r="AC18" s="9"/>
    </row>
    <row r="19" spans="1:29">
      <c r="A19" t="s">
        <v>61</v>
      </c>
      <c r="B19" s="8" t="s">
        <v>18</v>
      </c>
      <c r="C19" s="2">
        <f>C13*C14/C16</f>
        <v>60.715491622319298</v>
      </c>
      <c r="D19" s="9" t="s">
        <v>19</v>
      </c>
      <c r="F19" s="8" t="s">
        <v>18</v>
      </c>
      <c r="G19" s="2">
        <f>G13*G14/G16</f>
        <v>39.722906114947868</v>
      </c>
      <c r="H19" s="2">
        <f t="shared" ref="H19:K19" si="10">H13*H14/H16</f>
        <v>180.73922282301277</v>
      </c>
      <c r="I19" s="2">
        <f t="shared" si="10"/>
        <v>159.63228708607605</v>
      </c>
      <c r="J19" s="2">
        <f t="shared" si="10"/>
        <v>119.84325826000307</v>
      </c>
      <c r="K19" s="2">
        <f t="shared" si="10"/>
        <v>109.66320248239232</v>
      </c>
      <c r="L19" s="9" t="s">
        <v>19</v>
      </c>
      <c r="N19" s="8" t="s">
        <v>18</v>
      </c>
      <c r="O19" s="2">
        <f>O13*O14/O16</f>
        <v>382.38333340611138</v>
      </c>
      <c r="P19" s="2">
        <f>P13*P14/P16</f>
        <v>630.19892740751425</v>
      </c>
      <c r="Q19" s="9" t="s">
        <v>19</v>
      </c>
      <c r="S19" s="8" t="s">
        <v>18</v>
      </c>
      <c r="T19" s="2">
        <f>T13*T14/T16</f>
        <v>21.808811449437098</v>
      </c>
      <c r="U19" s="2">
        <f t="shared" ref="U19:W19" si="11">U13*U14/U16</f>
        <v>82.906155884564242</v>
      </c>
      <c r="V19" s="2">
        <f t="shared" si="11"/>
        <v>62.03511199373375</v>
      </c>
      <c r="W19" s="2">
        <f t="shared" si="11"/>
        <v>105.27928091805948</v>
      </c>
      <c r="X19" s="9" t="s">
        <v>19</v>
      </c>
      <c r="Z19" s="8" t="s">
        <v>18</v>
      </c>
      <c r="AA19" s="2">
        <f>AA13*AA14/AA16</f>
        <v>22.973414586817036</v>
      </c>
      <c r="AB19" s="2">
        <f>AB13*AB14/AB16</f>
        <v>142.17509404671671</v>
      </c>
      <c r="AC19" s="9" t="s">
        <v>19</v>
      </c>
    </row>
    <row r="20" spans="1:29">
      <c r="A20" t="s">
        <v>45</v>
      </c>
      <c r="B20" s="8" t="s">
        <v>20</v>
      </c>
      <c r="C20" s="2">
        <f>(C14*SQRT(C13/C12))/2+C13*C14/C16</f>
        <v>1081.336217781977</v>
      </c>
      <c r="D20" s="9" t="s">
        <v>19</v>
      </c>
      <c r="F20" s="8" t="s">
        <v>20</v>
      </c>
      <c r="G20" s="2">
        <f>(G14*SQRT(G13/G12))/2+G13*G14/G16</f>
        <v>1223.7284630607353</v>
      </c>
      <c r="H20" s="2">
        <f t="shared" ref="H20:K20" si="12">(H14*SQRT(H13/H12))/2+H13*H14/H16</f>
        <v>1039.4959560389204</v>
      </c>
      <c r="I20" s="2">
        <f t="shared" si="12"/>
        <v>1609.0598762171969</v>
      </c>
      <c r="J20" s="2">
        <f t="shared" si="12"/>
        <v>978.59999147591077</v>
      </c>
      <c r="K20" s="2">
        <f t="shared" si="12"/>
        <v>1559.0907916135131</v>
      </c>
      <c r="L20" s="9" t="s">
        <v>19</v>
      </c>
      <c r="N20" s="8" t="s">
        <v>20</v>
      </c>
      <c r="O20" s="2">
        <f>(O14*SQRT(O13/O12))/2+O13*O14/O16</f>
        <v>2114.4341409749886</v>
      </c>
      <c r="P20" s="2">
        <f>(P14*SQRT(P13/P12))/2+P13*P14/P16</f>
        <v>2844.236141257752</v>
      </c>
      <c r="Q20" s="9" t="s">
        <v>19</v>
      </c>
      <c r="S20" s="8" t="s">
        <v>20</v>
      </c>
      <c r="T20" s="2">
        <f>(T14*SQRT(T13/T12))/2+T13*T14/T16</f>
        <v>468.42731208099735</v>
      </c>
      <c r="U20" s="2">
        <f t="shared" ref="U20:W20" si="13">(U14*SQRT(U13/U12))/2+U13*U14/U16</f>
        <v>1096.5122234837932</v>
      </c>
      <c r="V20" s="2">
        <f t="shared" si="13"/>
        <v>732.1856894068892</v>
      </c>
      <c r="W20" s="2">
        <f t="shared" si="13"/>
        <v>1118.8853485172883</v>
      </c>
      <c r="X20" s="9" t="s">
        <v>19</v>
      </c>
      <c r="Z20" s="8" t="s">
        <v>20</v>
      </c>
      <c r="AA20" s="2">
        <f>(AA14*SQRT(AA13/AA12))/2+AA13*AA14/AA16</f>
        <v>609.51982984114829</v>
      </c>
      <c r="AB20" s="2">
        <f>(AB14*SQRT(AB13/AB12))/2+AB13*AB14/AB16</f>
        <v>1192.3851570677239</v>
      </c>
      <c r="AC20" s="9" t="s">
        <v>19</v>
      </c>
    </row>
    <row r="21" spans="1:29">
      <c r="A21" t="s">
        <v>47</v>
      </c>
      <c r="B21" s="12" t="s">
        <v>46</v>
      </c>
      <c r="C21" s="27">
        <v>1500</v>
      </c>
      <c r="D21" s="9" t="s">
        <v>19</v>
      </c>
      <c r="F21" s="12" t="s">
        <v>46</v>
      </c>
      <c r="G21" s="24">
        <v>1200</v>
      </c>
      <c r="H21" s="39">
        <v>1800</v>
      </c>
      <c r="I21" s="39"/>
      <c r="J21" s="39"/>
      <c r="K21" s="39"/>
      <c r="L21" s="9" t="s">
        <v>19</v>
      </c>
      <c r="N21" s="12" t="s">
        <v>46</v>
      </c>
      <c r="O21" s="32">
        <v>2000</v>
      </c>
      <c r="P21" s="32">
        <v>3000</v>
      </c>
      <c r="Q21" s="9" t="s">
        <v>19</v>
      </c>
      <c r="S21" s="12" t="s">
        <v>46</v>
      </c>
      <c r="T21" s="2">
        <v>900</v>
      </c>
      <c r="U21" s="39">
        <v>1800</v>
      </c>
      <c r="V21" s="39"/>
      <c r="W21" s="39"/>
      <c r="X21" s="9" t="s">
        <v>19</v>
      </c>
      <c r="Z21" s="12" t="s">
        <v>46</v>
      </c>
      <c r="AA21" s="39">
        <v>1500</v>
      </c>
      <c r="AB21" s="39"/>
      <c r="AC21" s="9" t="s">
        <v>19</v>
      </c>
    </row>
    <row r="22" spans="1:29">
      <c r="G22" s="24"/>
      <c r="L22" s="9"/>
      <c r="X22" s="9"/>
    </row>
    <row r="23" spans="1:29">
      <c r="A23" t="s">
        <v>76</v>
      </c>
      <c r="B23" s="4" t="s">
        <v>74</v>
      </c>
      <c r="C23" s="1">
        <v>8.0000000000000005E-9</v>
      </c>
      <c r="D23" s="9" t="s">
        <v>13</v>
      </c>
      <c r="F23" s="4" t="s">
        <v>74</v>
      </c>
      <c r="G23" s="21">
        <v>1E-8</v>
      </c>
      <c r="H23" s="9" t="s">
        <v>13</v>
      </c>
      <c r="N23" s="4"/>
      <c r="S23" s="4" t="s">
        <v>74</v>
      </c>
      <c r="T23" s="1">
        <v>6.7999999999999997E-9</v>
      </c>
      <c r="U23" s="9" t="s">
        <v>13</v>
      </c>
      <c r="Z23" s="4"/>
    </row>
    <row r="24" spans="1:29">
      <c r="A24" t="s">
        <v>73</v>
      </c>
      <c r="B24" s="4" t="s">
        <v>68</v>
      </c>
      <c r="C24" s="1">
        <v>8.5000000000000006E-5</v>
      </c>
      <c r="D24" s="9" t="s">
        <v>12</v>
      </c>
      <c r="F24" s="4" t="s">
        <v>68</v>
      </c>
      <c r="G24" s="21">
        <v>2.7E-4</v>
      </c>
      <c r="H24" s="9" t="s">
        <v>12</v>
      </c>
      <c r="N24" s="4" t="s">
        <v>68</v>
      </c>
      <c r="O24" s="1">
        <v>1.58E-3</v>
      </c>
      <c r="P24" s="9" t="s">
        <v>12</v>
      </c>
      <c r="S24" s="4" t="s">
        <v>68</v>
      </c>
      <c r="T24" s="1">
        <v>8.0000000000000007E-5</v>
      </c>
      <c r="U24" s="9" t="s">
        <v>12</v>
      </c>
      <c r="Z24" s="4" t="s">
        <v>68</v>
      </c>
      <c r="AA24" s="1">
        <v>1.9000000000000001E-4</v>
      </c>
      <c r="AB24" s="9" t="s">
        <v>12</v>
      </c>
    </row>
  </sheetData>
  <mergeCells count="17">
    <mergeCell ref="AA21:AB21"/>
    <mergeCell ref="U21:W21"/>
    <mergeCell ref="H21:K21"/>
    <mergeCell ref="O11:P11"/>
    <mergeCell ref="U10:W10"/>
    <mergeCell ref="H10:K10"/>
    <mergeCell ref="T11:U11"/>
    <mergeCell ref="V11:W11"/>
    <mergeCell ref="G11:I11"/>
    <mergeCell ref="J11:K11"/>
    <mergeCell ref="AA11:AB11"/>
    <mergeCell ref="S3:W3"/>
    <mergeCell ref="F3:K3"/>
    <mergeCell ref="B3:D3"/>
    <mergeCell ref="N3:P3"/>
    <mergeCell ref="AA10:AB10"/>
    <mergeCell ref="Z3:A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12"/>
  <sheetViews>
    <sheetView workbookViewId="0">
      <selection activeCell="A12" sqref="A12"/>
    </sheetView>
  </sheetViews>
  <sheetFormatPr defaultRowHeight="15"/>
  <cols>
    <col min="1" max="1" width="22.42578125" bestFit="1" customWidth="1"/>
    <col min="7" max="7" width="10" bestFit="1" customWidth="1"/>
    <col min="8" max="8" width="8.28515625" bestFit="1" customWidth="1"/>
    <col min="13" max="13" width="15.28515625" bestFit="1" customWidth="1"/>
  </cols>
  <sheetData>
    <row r="3" spans="1:13"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8" t="s">
        <v>27</v>
      </c>
      <c r="H3" s="8" t="s">
        <v>29</v>
      </c>
      <c r="I3" s="8" t="s">
        <v>30</v>
      </c>
      <c r="J3" s="8" t="s">
        <v>28</v>
      </c>
      <c r="K3" s="8" t="s">
        <v>34</v>
      </c>
      <c r="L3" s="8" t="s">
        <v>36</v>
      </c>
      <c r="M3" s="8" t="s">
        <v>38</v>
      </c>
    </row>
    <row r="4" spans="1:13">
      <c r="A4" t="s">
        <v>35</v>
      </c>
      <c r="B4">
        <v>1592</v>
      </c>
      <c r="C4">
        <v>751</v>
      </c>
      <c r="D4">
        <v>72</v>
      </c>
      <c r="E4">
        <v>1280</v>
      </c>
      <c r="F4">
        <v>720</v>
      </c>
      <c r="G4" s="10">
        <f t="shared" ref="G4:G12" si="0">B4*C4*D4/1000000</f>
        <v>86.082623999999996</v>
      </c>
      <c r="H4" s="1">
        <f t="shared" ref="H4:H12" si="1">1/J4*(1-(E4/B4))</f>
        <v>3.6244248316594058E-6</v>
      </c>
      <c r="I4" s="11">
        <f t="shared" ref="I4:I12" si="2">1/D4*(1-(F4/C4))</f>
        <v>5.7330966119248372E-4</v>
      </c>
      <c r="J4">
        <f t="shared" ref="J4:J12" si="3">C4*D4</f>
        <v>54072</v>
      </c>
      <c r="K4" s="1">
        <v>2.6000000000000001E-6</v>
      </c>
      <c r="L4" s="1">
        <f>H4-K4</f>
        <v>1.0244248316594057E-6</v>
      </c>
      <c r="M4" s="3" t="s">
        <v>39</v>
      </c>
    </row>
    <row r="5" spans="1:13">
      <c r="A5" t="s">
        <v>32</v>
      </c>
      <c r="B5">
        <v>2416</v>
      </c>
      <c r="C5">
        <v>1175</v>
      </c>
      <c r="D5">
        <v>48</v>
      </c>
      <c r="E5">
        <v>1920</v>
      </c>
      <c r="F5">
        <v>1080</v>
      </c>
      <c r="G5" s="10">
        <f t="shared" si="0"/>
        <v>136.26240000000001</v>
      </c>
      <c r="H5" s="1">
        <f t="shared" si="1"/>
        <v>3.6400356958339212E-6</v>
      </c>
      <c r="I5" s="11">
        <f t="shared" si="2"/>
        <v>1.6843971631205674E-3</v>
      </c>
      <c r="J5">
        <f t="shared" si="3"/>
        <v>56400</v>
      </c>
      <c r="K5" s="1">
        <v>2.6000000000000001E-6</v>
      </c>
      <c r="L5" s="1">
        <f t="shared" ref="L5:L11" si="4">H5-K5</f>
        <v>1.0400356958339211E-6</v>
      </c>
      <c r="M5" s="3" t="s">
        <v>39</v>
      </c>
    </row>
    <row r="6" spans="1:13">
      <c r="A6" t="s">
        <v>31</v>
      </c>
      <c r="B6">
        <v>2406</v>
      </c>
      <c r="C6">
        <v>1130</v>
      </c>
      <c r="D6">
        <v>72</v>
      </c>
      <c r="E6">
        <v>1920</v>
      </c>
      <c r="F6">
        <v>1080</v>
      </c>
      <c r="G6" s="10">
        <f t="shared" si="0"/>
        <v>195.75216</v>
      </c>
      <c r="H6" s="1">
        <f t="shared" si="1"/>
        <v>2.482731225034758E-6</v>
      </c>
      <c r="I6" s="11">
        <f t="shared" si="2"/>
        <v>6.1455260570304759E-4</v>
      </c>
      <c r="J6">
        <f t="shared" si="3"/>
        <v>81360</v>
      </c>
      <c r="K6" s="1">
        <v>1.9999999999999999E-6</v>
      </c>
      <c r="L6" s="1">
        <f t="shared" si="4"/>
        <v>4.8273122503475813E-7</v>
      </c>
      <c r="M6" s="3" t="s">
        <v>39</v>
      </c>
    </row>
    <row r="7" spans="1:13">
      <c r="A7" t="s">
        <v>33</v>
      </c>
      <c r="B7">
        <v>2200</v>
      </c>
      <c r="C7">
        <v>1125</v>
      </c>
      <c r="D7">
        <v>60</v>
      </c>
      <c r="E7">
        <v>1920</v>
      </c>
      <c r="F7">
        <v>1080</v>
      </c>
      <c r="G7" s="10">
        <f t="shared" si="0"/>
        <v>148.5</v>
      </c>
      <c r="H7" s="1">
        <f t="shared" si="1"/>
        <v>1.8855218855218861E-6</v>
      </c>
      <c r="I7" s="11">
        <f t="shared" si="2"/>
        <v>6.6666666666666729E-4</v>
      </c>
      <c r="J7">
        <f t="shared" si="3"/>
        <v>67500</v>
      </c>
      <c r="K7" s="1">
        <v>2.6000000000000001E-6</v>
      </c>
      <c r="L7" s="1">
        <f t="shared" si="4"/>
        <v>-7.1447811447811401E-7</v>
      </c>
      <c r="M7" s="3" t="s">
        <v>56</v>
      </c>
    </row>
    <row r="8" spans="1:13">
      <c r="A8" t="s">
        <v>37</v>
      </c>
      <c r="B8">
        <v>2200</v>
      </c>
      <c r="C8">
        <v>1125</v>
      </c>
      <c r="D8">
        <v>72</v>
      </c>
      <c r="E8">
        <v>1920</v>
      </c>
      <c r="F8">
        <v>1080</v>
      </c>
      <c r="G8" s="10">
        <f t="shared" si="0"/>
        <v>178.2</v>
      </c>
      <c r="H8" s="1">
        <f t="shared" si="1"/>
        <v>1.571268237934905E-6</v>
      </c>
      <c r="I8" s="11">
        <f t="shared" si="2"/>
        <v>5.5555555555555599E-4</v>
      </c>
      <c r="J8">
        <f t="shared" si="3"/>
        <v>81000</v>
      </c>
      <c r="K8" s="1">
        <v>1.9999999999999999E-6</v>
      </c>
      <c r="L8" s="1">
        <f t="shared" si="4"/>
        <v>-4.2873176206509495E-7</v>
      </c>
      <c r="M8" s="3" t="s">
        <v>56</v>
      </c>
    </row>
    <row r="9" spans="1:13">
      <c r="A9" t="s">
        <v>48</v>
      </c>
      <c r="B9">
        <v>2570</v>
      </c>
      <c r="C9">
        <v>1620</v>
      </c>
      <c r="D9">
        <v>75</v>
      </c>
      <c r="E9">
        <v>2048</v>
      </c>
      <c r="F9">
        <v>1536</v>
      </c>
      <c r="G9" s="10">
        <f t="shared" si="0"/>
        <v>312.255</v>
      </c>
      <c r="H9" s="1">
        <f t="shared" si="1"/>
        <v>1.6717106211269632E-6</v>
      </c>
      <c r="I9" s="11">
        <f t="shared" si="2"/>
        <v>6.9135802469135756E-4</v>
      </c>
      <c r="J9">
        <f t="shared" si="3"/>
        <v>121500</v>
      </c>
      <c r="K9" s="1">
        <v>1.3999999999999999E-6</v>
      </c>
      <c r="L9" s="1">
        <f t="shared" si="4"/>
        <v>2.7171062112696322E-7</v>
      </c>
      <c r="M9" s="3" t="s">
        <v>39</v>
      </c>
    </row>
    <row r="10" spans="1:13">
      <c r="A10" t="s">
        <v>53</v>
      </c>
      <c r="B10">
        <v>2382</v>
      </c>
      <c r="C10">
        <v>1125</v>
      </c>
      <c r="D10">
        <v>110</v>
      </c>
      <c r="E10">
        <v>1920</v>
      </c>
      <c r="F10">
        <v>1080</v>
      </c>
      <c r="G10" s="10">
        <f t="shared" si="0"/>
        <v>294.77249999999998</v>
      </c>
      <c r="H10" s="1">
        <f t="shared" si="1"/>
        <v>1.56731038343129E-6</v>
      </c>
      <c r="I10" s="11">
        <f t="shared" si="2"/>
        <v>3.6363636363636394E-4</v>
      </c>
      <c r="J10">
        <f t="shared" si="3"/>
        <v>123750</v>
      </c>
      <c r="K10" s="1">
        <v>1.3999999999999999E-6</v>
      </c>
      <c r="L10" s="1">
        <f t="shared" si="4"/>
        <v>1.6731038343129006E-7</v>
      </c>
      <c r="M10" s="3" t="s">
        <v>55</v>
      </c>
    </row>
    <row r="11" spans="1:13">
      <c r="A11" t="s">
        <v>54</v>
      </c>
      <c r="B11">
        <v>2505</v>
      </c>
      <c r="C11">
        <v>1125</v>
      </c>
      <c r="D11">
        <v>110</v>
      </c>
      <c r="E11">
        <v>1920</v>
      </c>
      <c r="F11">
        <v>1080</v>
      </c>
      <c r="G11" s="10">
        <f t="shared" si="0"/>
        <v>309.99374999999998</v>
      </c>
      <c r="H11" s="1">
        <f t="shared" si="1"/>
        <v>1.8871348212665574E-6</v>
      </c>
      <c r="I11" s="11">
        <f t="shared" si="2"/>
        <v>3.6363636363636394E-4</v>
      </c>
      <c r="J11">
        <f t="shared" si="3"/>
        <v>123750</v>
      </c>
      <c r="K11" s="1">
        <v>1.3999999999999999E-6</v>
      </c>
      <c r="L11" s="1">
        <f t="shared" si="4"/>
        <v>4.8713482126655742E-7</v>
      </c>
      <c r="M11" s="3" t="s">
        <v>39</v>
      </c>
    </row>
    <row r="12" spans="1:13">
      <c r="A12" t="s">
        <v>58</v>
      </c>
      <c r="B12">
        <v>4300</v>
      </c>
      <c r="C12">
        <v>2300</v>
      </c>
      <c r="D12">
        <v>30</v>
      </c>
      <c r="E12">
        <v>3840</v>
      </c>
      <c r="F12">
        <v>2160</v>
      </c>
      <c r="G12" s="10">
        <f t="shared" si="0"/>
        <v>296.7</v>
      </c>
      <c r="H12" s="1">
        <f t="shared" si="1"/>
        <v>1.5503875968992249E-6</v>
      </c>
      <c r="I12" s="11">
        <f t="shared" si="2"/>
        <v>2.0289855072463761E-3</v>
      </c>
      <c r="J12">
        <f t="shared" si="3"/>
        <v>69000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DEF calculator</vt:lpstr>
      <vt:lpstr>Res calculator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</dc:creator>
  <cp:lastModifiedBy>Gábor</cp:lastModifiedBy>
  <dcterms:created xsi:type="dcterms:W3CDTF">2016-04-20T11:03:33Z</dcterms:created>
  <dcterms:modified xsi:type="dcterms:W3CDTF">2017-09-16T19:53:05Z</dcterms:modified>
</cp:coreProperties>
</file>